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mperial units"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<sst xmlns="http://schemas.openxmlformats.org/spreadsheetml/2006/main" count="98" uniqueCount="85">
  <si>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</si>
  <si>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</si>
  <si>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Gas expander available energy calculation</t>
  </si>
  <si>
    <t xml:space="preserve">To modify</t>
  </si>
  <si>
    <t xml:space="preserve">Calculated</t>
  </si>
  <si>
    <t xml:space="preserve">This calculation sheet is allowing to estimate the amount of energy that a gas turbo expander could recover as well as the outlet temperature</t>
  </si>
  <si>
    <t xml:space="preserve">Data input</t>
  </si>
  <si>
    <t xml:space="preserve">Gas conveyed</t>
  </si>
  <si>
    <t xml:space="preserve">Natural Gas</t>
  </si>
  <si>
    <t xml:space="preserve">Molecular weight of the gas</t>
  </si>
  <si>
    <t xml:space="preserve">g/mol</t>
  </si>
  <si>
    <t xml:space="preserve">Spefici gravity of gas vs air</t>
  </si>
  <si>
    <t xml:space="preserve">Gas viscosity</t>
  </si>
  <si>
    <t xml:space="preserve">Inlet temperature</t>
  </si>
  <si>
    <t xml:space="preserve">T1</t>
  </si>
  <si>
    <t xml:space="preserve">F</t>
  </si>
  <si>
    <t xml:space="preserve">R</t>
  </si>
  <si>
    <t xml:space="preserve">Outlet temperature</t>
  </si>
  <si>
    <t xml:space="preserve">T2</t>
  </si>
  <si>
    <t xml:space="preserve">Inlet pressure</t>
  </si>
  <si>
    <t xml:space="preserve">P1’</t>
  </si>
  <si>
    <t xml:space="preserve">Psi abs</t>
  </si>
  <si>
    <t xml:space="preserve">Outlet pressure</t>
  </si>
  <si>
    <t xml:space="preserve">P2</t>
  </si>
  <si>
    <t xml:space="preserve">Total pipe length</t>
  </si>
  <si>
    <t xml:space="preserve">Lm</t>
  </si>
  <si>
    <t xml:space="preserve">miles</t>
  </si>
  <si>
    <t xml:space="preserve">Pipe internal diameter</t>
  </si>
  <si>
    <t xml:space="preserve">d</t>
  </si>
  <si>
    <t xml:space="preserve">in</t>
  </si>
  <si>
    <t xml:space="preserve">Pipe roughness</t>
  </si>
  <si>
    <t xml:space="preserve">epsilon</t>
  </si>
  <si>
    <t xml:space="preserve">mm</t>
  </si>
  <si>
    <t xml:space="preserve">Pipe elevation</t>
  </si>
  <si>
    <t xml:space="preserve">DZ</t>
  </si>
  <si>
    <t xml:space="preserve">ft</t>
  </si>
  <si>
    <t xml:space="preserve">Friction factor (Darcy)</t>
  </si>
  <si>
    <t xml:space="preserve">f</t>
  </si>
  <si>
    <t xml:space="preserve">Please use abacus to determine the friction factor</t>
  </si>
  <si>
    <t xml:space="preserve">You can also consider the following values</t>
  </si>
  <si>
    <t xml:space="preserve">Efficiency factor</t>
  </si>
  <si>
    <t xml:space="preserve">E</t>
  </si>
  <si>
    <t xml:space="preserve">Roughness</t>
  </si>
  <si>
    <t xml:space="preserve">Average temperature</t>
  </si>
  <si>
    <t xml:space="preserve">Tavg</t>
  </si>
  <si>
    <t xml:space="preserve">d/epsilon</t>
  </si>
  <si>
    <t xml:space="preserve">Average pressure</t>
  </si>
  <si>
    <t xml:space="preserve">Pavg</t>
  </si>
  <si>
    <t xml:space="preserve">Friction factor (Nikuradze)</t>
  </si>
  <si>
    <t xml:space="preserve">Compressibility factor</t>
  </si>
  <si>
    <t xml:space="preserve">Zf,avg</t>
  </si>
  <si>
    <t xml:space="preserve">Please calculate Zf,avg separately</t>
  </si>
  <si>
    <t xml:space="preserve">Friction factor Weymouth</t>
  </si>
  <si>
    <t xml:space="preserve">Potential energy term</t>
  </si>
  <si>
    <t xml:space="preserve">phi</t>
  </si>
  <si>
    <t xml:space="preserve">Absolute temperature at standard conditions</t>
  </si>
  <si>
    <t xml:space="preserve">Tb</t>
  </si>
  <si>
    <t xml:space="preserve">Absolute pressure at standard conditions</t>
  </si>
  <si>
    <t xml:space="preserve">Pb’</t>
  </si>
  <si>
    <t xml:space="preserve">Tb/P’b</t>
  </si>
  <si>
    <t xml:space="preserve">(P1’)2-(P2’)2 – phi</t>
  </si>
  <si>
    <t xml:space="preserve">f.Lm.Tavg.Zfavg.Sg</t>
  </si>
  <si>
    <t xml:space="preserve">Lm.Tavg.Zfavg.Sg</t>
  </si>
  <si>
    <t xml:space="preserve">Lm.Tavg.Zfavg.Sg^0.8539</t>
  </si>
  <si>
    <t xml:space="preserve">Lm.Tavg.Zfavg.Sg^0.931</t>
  </si>
  <si>
    <t xml:space="preserve">Calculation flow of compressible fluid in the pipeline</t>
  </si>
  <si>
    <t xml:space="preserve">Re</t>
  </si>
  <si>
    <t xml:space="preserve">f calculated</t>
  </si>
  <si>
    <t xml:space="preserve">f assumed</t>
  </si>
  <si>
    <t xml:space="preserve">Relative Difference</t>
  </si>
  <si>
    <t xml:space="preserve">Isothermal equation</t>
  </si>
  <si>
    <t xml:space="preserve">q’h iso</t>
  </si>
  <si>
    <t xml:space="preserve">scfh</t>
  </si>
  <si>
    <t xml:space="preserve">If the difference in between assumed and calculated is too big, put back the calculated value</t>
  </si>
  <si>
    <t xml:space="preserve">Weymouth equation</t>
  </si>
  <si>
    <t xml:space="preserve">q’h wey</t>
  </si>
  <si>
    <t xml:space="preserve">at the place of the assumed value above</t>
  </si>
  <si>
    <t xml:space="preserve">Panhandle A equation</t>
  </si>
  <si>
    <t xml:space="preserve">q’h pan A</t>
  </si>
  <si>
    <t xml:space="preserve">Panhandle B equation</t>
  </si>
  <si>
    <t xml:space="preserve">q’h pan B</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</si>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</sst>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5">
    <numFmt numFmtId="164" formatCode="General"/>
    <numFmt numFmtId="165" formatCode="0.00"/>
    <numFmt numFmtId="166" formatCode="General"/>
    <numFmt numFmtId="167" formatCode="0"/>
    <numFmt numFmtId="168" formatCode="0.00%"/>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7">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CCCCCC"/>
        <bgColor rgb="FFCCCCFF"/>
      </patternFill>
    </fill>
    <fill>
      <patternFill patternType="solid">
        <fgColor rgb="FFF10D0C"/>
        <bgColor rgb="FFFF0000"/>
      </patternFill>
    </fill>
  </fills>
  <borders count="10">
    <border diagonalUp="false" diagonalDown="false">
      <left/>
      <right/>
      <top/>
      <bottom/>
      <diagonal/>
    </border>
    <border diagonalUp="false" diagonalDown="false">
      <left style="medium"/>
      <right style="medium"/>
      <top style="medium"/>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0" fillId="0" borderId="2" xfId="0" applyFont="true" applyBorder="true" applyAlignment="true" applyProtection="true">
      <alignment horizontal="center" vertical="bottom" textRotation="0" wrapText="false" indent="0" shrinkToFit="false"/>
      <protection locked="true" hidden="false"/>
    </xf>
    <xf numFmtId="164" fontId="6" fillId="3" borderId="0" xfId="0" applyFont="true" applyBorder="false" applyAlignment="true" applyProtection="true">
      <alignment horizontal="center" vertical="bottom" textRotation="0" wrapText="false" indent="0" shrinkToFit="false"/>
      <protection locked="false" hidden="false"/>
    </xf>
    <xf numFmtId="164" fontId="9" fillId="0" borderId="3" xfId="0" applyFont="true" applyBorder="true" applyAlignment="true" applyProtection="true">
      <alignment horizontal="center" vertical="bottom" textRotation="0" wrapText="false" indent="0" shrinkToFit="false"/>
      <protection locked="true" hidden="false"/>
    </xf>
    <xf numFmtId="165" fontId="7" fillId="4" borderId="0" xfId="0" applyFont="true" applyBorder="false" applyAlignment="true" applyProtection="true">
      <alignment horizontal="center" vertical="bottom" textRotation="0" wrapText="false" indent="0" shrinkToFit="false"/>
      <protection locked="true" hidden="false"/>
    </xf>
    <xf numFmtId="166" fontId="7" fillId="4" borderId="0" xfId="0" applyFont="true" applyBorder="false" applyAlignment="true" applyProtection="true">
      <alignment horizontal="center" vertical="bottom" textRotation="0" wrapText="false" indent="0" shrinkToFit="false"/>
      <protection locked="true" hidden="false"/>
    </xf>
    <xf numFmtId="164" fontId="0" fillId="5" borderId="0" xfId="0" applyFont="true" applyBorder="false" applyAlignment="false" applyProtection="true">
      <alignment horizontal="general"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4" fontId="0" fillId="0" borderId="4" xfId="0" applyFont="true" applyBorder="true" applyAlignment="true" applyProtection="true">
      <alignment horizontal="center" vertical="bottom" textRotation="0" wrapText="false" indent="0" shrinkToFit="false"/>
      <protection locked="true" hidden="false"/>
    </xf>
    <xf numFmtId="164" fontId="6" fillId="3" borderId="5" xfId="0" applyFont="true" applyBorder="true" applyAlignment="true" applyProtection="true">
      <alignment horizontal="center" vertical="bottom" textRotation="0" wrapText="false" indent="0" shrinkToFit="false"/>
      <protection locked="false" hidden="false"/>
    </xf>
    <xf numFmtId="164" fontId="9" fillId="0" borderId="6" xfId="0" applyFont="true" applyBorder="true" applyAlignment="true" applyProtection="true">
      <alignment horizontal="center" vertical="bottom" textRotation="0" wrapText="false" indent="0" shrinkToFit="false"/>
      <protection locked="true" hidden="false"/>
    </xf>
    <xf numFmtId="166" fontId="0" fillId="5" borderId="0" xfId="0" applyFont="false" applyBorder="false" applyAlignment="false" applyProtection="true">
      <alignment horizontal="general" vertical="bottom" textRotation="0" wrapText="false" indent="0" shrinkToFit="false"/>
      <protection locked="true" hidden="false"/>
    </xf>
    <xf numFmtId="164" fontId="0" fillId="0" borderId="7" xfId="0" applyFont="true" applyBorder="true" applyAlignment="false" applyProtection="true">
      <alignment horizontal="general" vertical="bottom" textRotation="0" wrapText="false" indent="0" shrinkToFit="false"/>
      <protection locked="true" hidden="false"/>
    </xf>
    <xf numFmtId="164" fontId="0" fillId="0" borderId="7" xfId="0" applyFont="true" applyBorder="true" applyAlignment="true" applyProtection="true">
      <alignment horizontal="center" vertical="bottom" textRotation="0" wrapText="false" indent="0" shrinkToFit="false"/>
      <protection locked="true" hidden="false"/>
    </xf>
    <xf numFmtId="166" fontId="7" fillId="4" borderId="8" xfId="0" applyFont="true" applyBorder="true" applyAlignment="true" applyProtection="true">
      <alignment horizontal="center" vertical="bottom" textRotation="0" wrapText="false" indent="0" shrinkToFit="false"/>
      <protection locked="true" hidden="false"/>
    </xf>
    <xf numFmtId="164" fontId="9" fillId="0" borderId="9" xfId="0" applyFont="true" applyBorder="true" applyAlignment="true" applyProtection="true">
      <alignment horizontal="center" vertical="bottom" textRotation="0" wrapText="false" indent="0" shrinkToFit="false"/>
      <protection locked="true" hidden="false"/>
    </xf>
    <xf numFmtId="164" fontId="8" fillId="5" borderId="0" xfId="0" applyFont="true" applyBorder="false" applyAlignment="false" applyProtection="true">
      <alignment horizontal="general" vertical="bottom" textRotation="0" wrapText="false" indent="0" shrinkToFit="false"/>
      <protection locked="true" hidden="false"/>
    </xf>
    <xf numFmtId="164" fontId="7" fillId="5" borderId="0" xfId="0" applyFont="true" applyBorder="false" applyAlignment="true" applyProtection="true">
      <alignment horizontal="center" vertical="bottom" textRotation="0" wrapText="false" indent="0" shrinkToFit="false"/>
      <protection locked="true" hidden="false"/>
    </xf>
    <xf numFmtId="164" fontId="7" fillId="4" borderId="5"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4" fontId="0" fillId="0" borderId="4"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7" fontId="7" fillId="4" borderId="0" xfId="0" applyFont="true" applyBorder="false" applyAlignment="true" applyProtection="true">
      <alignment horizontal="center" vertical="bottom" textRotation="0" wrapText="false" indent="0" shrinkToFit="false"/>
      <protection locked="true" hidden="false"/>
    </xf>
    <xf numFmtId="166" fontId="7" fillId="4" borderId="0" xfId="0" applyFont="true" applyBorder="false" applyAlignment="true" applyProtection="true">
      <alignment horizontal="center" vertical="bottom" textRotation="0" wrapText="false" indent="0" shrinkToFit="false"/>
      <protection locked="true" hidden="false"/>
    </xf>
    <xf numFmtId="168" fontId="7" fillId="4" borderId="0" xfId="0" applyFont="true" applyBorder="false" applyAlignment="true" applyProtection="true">
      <alignment horizontal="center" vertical="bottom" textRotation="0" wrapText="false" indent="0" shrinkToFit="false"/>
      <protection locked="true" hidden="false"/>
    </xf>
    <xf numFmtId="167" fontId="7" fillId="4" borderId="5" xfId="0" applyFont="true" applyBorder="true" applyAlignment="true" applyProtection="true">
      <alignment horizontal="center"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4" fillId="6" borderId="0" xfId="0" applyFont="true" applyBorder="false" applyAlignment="false" applyProtection="true">
      <alignment horizontal="general" vertical="bottom" textRotation="0" wrapText="false" indent="0" shrinkToFit="false"/>
      <protection locked="true" hidden="false"/>
    </xf>
    <xf numFmtId="164" fontId="0" fillId="6" borderId="0" xfId="0" applyFont="false" applyBorder="false" applyAlignment="fals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CCCCC"/>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57"/>
  <sheetViews>
    <sheetView showFormulas="false" showGridLines="true" showRowColHeaders="true" showZeros="true" rightToLeft="false" tabSelected="true" showOutlineSymbols="true" defaultGridColor="true" view="normal" topLeftCell="A1" colorId="64" zoomScale="60" zoomScaleNormal="60" zoomScalePageLayoutView="100" workbookViewId="0">
      <selection pane="topLeft" activeCell="H38" activeCellId="0" sqref="H38"/>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2.09"/>
    <col collapsed="false" customWidth="false" hidden="false" outlineLevel="0" max="3" min="3" style="1" width="11.52"/>
    <col collapsed="false" customWidth="true" hidden="false" outlineLevel="0" max="4" min="4" style="1" width="21.11"/>
    <col collapsed="false" customWidth="true" hidden="false" outlineLevel="0" max="5" min="5" style="1" width="14.93"/>
    <col collapsed="false" customWidth="true" hidden="false" outlineLevel="0" max="6" min="6" style="1" width="23.01"/>
    <col collapsed="false" customWidth="false" hidden="false" outlineLevel="0" max="8" min="7" style="1" width="11.52"/>
    <col collapsed="false" customWidth="true" hidden="false" outlineLevel="0" max="9" min="9" style="1" width="21.52"/>
    <col collapsed="false" customWidth="false" hidden="false" outlineLevel="0" max="1024" min="10" style="1" width="11.52"/>
  </cols>
  <sheetData>
    <row r="1" customFormat="false" ht="12.8" hidden="false" customHeight="false" outlineLevel="0" collapsed="false">
      <c r="A1" s="2" t="s">
        <v>0</v>
      </c>
      <c r="B1" s="2"/>
      <c r="C1" s="2"/>
      <c r="D1" s="2"/>
      <c r="E1" s="2"/>
      <c r="F1" s="2"/>
      <c r="G1" s="2"/>
      <c r="H1" s="2"/>
      <c r="I1" s="2"/>
      <c r="J1" s="2"/>
      <c r="K1" s="2"/>
      <c r="L1" s="2"/>
      <c r="M1" s="2"/>
    </row>
    <row r="2" customFormat="false" ht="12.8" hidden="false" customHeight="false" outlineLevel="0" collapsed="false">
      <c r="A2" s="2" t="s">
        <v>1</v>
      </c>
      <c r="B2" s="2"/>
      <c r="C2" s="2"/>
      <c r="D2" s="2"/>
      <c r="E2" s="2"/>
      <c r="F2" s="2"/>
      <c r="G2" s="2"/>
      <c r="H2" s="2"/>
      <c r="I2" s="2"/>
      <c r="J2" s="2"/>
      <c r="K2" s="2"/>
      <c r="L2" s="2"/>
      <c r="M2" s="2"/>
    </row>
    <row r="4" customFormat="false" ht="13.8" hidden="false" customHeight="false" outlineLevel="0" collapsed="false">
      <c r="A4" s="3" t="s">
        <v>2</v>
      </c>
      <c r="D4" s="4" t="s">
        <v>3</v>
      </c>
      <c r="E4" s="5" t="s">
        <v>4</v>
      </c>
    </row>
    <row r="5" customFormat="false" ht="13.8" hidden="false" customHeight="false" outlineLevel="0" collapsed="false">
      <c r="A5" s="3"/>
      <c r="D5" s="6"/>
      <c r="E5" s="7"/>
    </row>
    <row r="6" customFormat="false" ht="13.8" hidden="false" customHeight="false" outlineLevel="0" collapsed="false">
      <c r="A6" s="3" t="s">
        <v>5</v>
      </c>
      <c r="D6" s="6"/>
      <c r="E6" s="7"/>
    </row>
    <row r="7" customFormat="false" ht="13.8" hidden="false" customHeight="false" outlineLevel="0" collapsed="false">
      <c r="A7" s="3"/>
      <c r="D7" s="6"/>
      <c r="E7" s="7"/>
    </row>
    <row r="8" customFormat="false" ht="12.8" hidden="false" customHeight="false" outlineLevel="0" collapsed="false">
      <c r="A8" s="3"/>
      <c r="B8" s="8" t="s">
        <v>6</v>
      </c>
      <c r="C8" s="8"/>
      <c r="D8" s="8"/>
      <c r="E8" s="8"/>
    </row>
    <row r="9" customFormat="false" ht="13.8" hidden="false" customHeight="false" outlineLevel="0" collapsed="false">
      <c r="A9" s="3"/>
      <c r="B9" s="9" t="s">
        <v>7</v>
      </c>
      <c r="C9" s="10"/>
      <c r="D9" s="11" t="s">
        <v>8</v>
      </c>
      <c r="E9" s="12"/>
    </row>
    <row r="10" customFormat="false" ht="13.8" hidden="false" customHeight="false" outlineLevel="0" collapsed="false">
      <c r="A10" s="3"/>
      <c r="B10" s="9" t="s">
        <v>9</v>
      </c>
      <c r="C10" s="10"/>
      <c r="D10" s="11" t="n">
        <v>20.06</v>
      </c>
      <c r="E10" s="12" t="s">
        <v>10</v>
      </c>
    </row>
    <row r="11" customFormat="false" ht="13.8" hidden="false" customHeight="false" outlineLevel="0" collapsed="false">
      <c r="A11" s="3"/>
      <c r="B11" s="9" t="s">
        <v>11</v>
      </c>
      <c r="C11" s="10"/>
      <c r="D11" s="13" t="n">
        <f aca="false">D10/29</f>
        <v>0.691724137931034</v>
      </c>
      <c r="E11" s="12"/>
    </row>
    <row r="12" customFormat="false" ht="13.8" hidden="false" customHeight="false" outlineLevel="0" collapsed="false">
      <c r="A12" s="3"/>
      <c r="B12" s="9" t="s">
        <v>12</v>
      </c>
      <c r="C12" s="10"/>
      <c r="D12" s="11" t="n">
        <v>0.011</v>
      </c>
      <c r="E12" s="12"/>
    </row>
    <row r="13" customFormat="false" ht="13.8" hidden="false" customHeight="false" outlineLevel="0" collapsed="false">
      <c r="A13" s="3"/>
      <c r="B13" s="9" t="s">
        <v>13</v>
      </c>
      <c r="C13" s="10" t="s">
        <v>14</v>
      </c>
      <c r="D13" s="11" t="n">
        <v>50</v>
      </c>
      <c r="E13" s="12" t="s">
        <v>15</v>
      </c>
    </row>
    <row r="14" customFormat="false" ht="13.8" hidden="false" customHeight="false" outlineLevel="0" collapsed="false">
      <c r="A14" s="3"/>
      <c r="B14" s="9"/>
      <c r="C14" s="10"/>
      <c r="D14" s="14" t="n">
        <f aca="false">D13+459.67</f>
        <v>509.67</v>
      </c>
      <c r="E14" s="12" t="s">
        <v>16</v>
      </c>
    </row>
    <row r="15" customFormat="false" ht="13.8" hidden="false" customHeight="false" outlineLevel="0" collapsed="false">
      <c r="A15" s="3"/>
      <c r="B15" s="9" t="s">
        <v>17</v>
      </c>
      <c r="C15" s="10" t="s">
        <v>18</v>
      </c>
      <c r="D15" s="11" t="n">
        <v>30</v>
      </c>
      <c r="E15" s="12" t="s">
        <v>15</v>
      </c>
    </row>
    <row r="16" customFormat="false" ht="13.8" hidden="false" customHeight="false" outlineLevel="0" collapsed="false">
      <c r="A16" s="3"/>
      <c r="B16" s="9"/>
      <c r="C16" s="10"/>
      <c r="D16" s="14" t="n">
        <f aca="false">D15+459.67</f>
        <v>489.67</v>
      </c>
      <c r="E16" s="12" t="s">
        <v>16</v>
      </c>
    </row>
    <row r="17" customFormat="false" ht="13.8" hidden="false" customHeight="false" outlineLevel="0" collapsed="false">
      <c r="A17" s="3"/>
      <c r="B17" s="9" t="s">
        <v>19</v>
      </c>
      <c r="C17" s="10" t="s">
        <v>20</v>
      </c>
      <c r="D17" s="11" t="n">
        <v>1300</v>
      </c>
      <c r="E17" s="12" t="s">
        <v>21</v>
      </c>
    </row>
    <row r="18" customFormat="false" ht="13.8" hidden="false" customHeight="false" outlineLevel="0" collapsed="false">
      <c r="A18" s="3"/>
      <c r="B18" s="9" t="s">
        <v>22</v>
      </c>
      <c r="C18" s="10" t="s">
        <v>23</v>
      </c>
      <c r="D18" s="11" t="n">
        <v>300</v>
      </c>
      <c r="E18" s="12" t="s">
        <v>21</v>
      </c>
    </row>
    <row r="19" customFormat="false" ht="13.8" hidden="false" customHeight="false" outlineLevel="0" collapsed="false">
      <c r="A19" s="3"/>
      <c r="B19" s="9" t="s">
        <v>24</v>
      </c>
      <c r="C19" s="10" t="s">
        <v>25</v>
      </c>
      <c r="D19" s="11" t="n">
        <v>100</v>
      </c>
      <c r="E19" s="12" t="s">
        <v>26</v>
      </c>
    </row>
    <row r="20" customFormat="false" ht="13.8" hidden="false" customHeight="false" outlineLevel="0" collapsed="false">
      <c r="A20" s="3"/>
      <c r="B20" s="9" t="s">
        <v>27</v>
      </c>
      <c r="C20" s="10" t="s">
        <v>28</v>
      </c>
      <c r="D20" s="11" t="n">
        <v>13.376</v>
      </c>
      <c r="E20" s="12" t="s">
        <v>29</v>
      </c>
    </row>
    <row r="21" customFormat="false" ht="13.8" hidden="false" customHeight="false" outlineLevel="0" collapsed="false">
      <c r="A21" s="3"/>
      <c r="B21" s="9" t="s">
        <v>30</v>
      </c>
      <c r="C21" s="10" t="s">
        <v>31</v>
      </c>
      <c r="D21" s="11" t="n">
        <v>0.015</v>
      </c>
      <c r="E21" s="12" t="s">
        <v>32</v>
      </c>
    </row>
    <row r="22" customFormat="false" ht="13.8" hidden="false" customHeight="false" outlineLevel="0" collapsed="false">
      <c r="A22" s="3"/>
      <c r="B22" s="9" t="s">
        <v>33</v>
      </c>
      <c r="C22" s="10" t="s">
        <v>34</v>
      </c>
      <c r="D22" s="11" t="n">
        <v>0</v>
      </c>
      <c r="E22" s="12" t="s">
        <v>35</v>
      </c>
    </row>
    <row r="23" customFormat="false" ht="13.8" hidden="false" customHeight="false" outlineLevel="0" collapsed="false">
      <c r="A23" s="3"/>
      <c r="B23" s="9" t="s">
        <v>36</v>
      </c>
      <c r="C23" s="10" t="s">
        <v>37</v>
      </c>
      <c r="D23" s="11" t="n">
        <v>0.0128</v>
      </c>
      <c r="E23" s="12"/>
      <c r="F23" s="15" t="s">
        <v>38</v>
      </c>
      <c r="G23" s="15"/>
      <c r="H23" s="15"/>
      <c r="I23" s="15" t="s">
        <v>39</v>
      </c>
      <c r="J23" s="15"/>
      <c r="K23" s="15"/>
    </row>
    <row r="24" customFormat="false" ht="13.8" hidden="false" customHeight="false" outlineLevel="0" collapsed="false">
      <c r="A24" s="3"/>
      <c r="B24" s="16" t="s">
        <v>40</v>
      </c>
      <c r="C24" s="17" t="s">
        <v>41</v>
      </c>
      <c r="D24" s="18" t="n">
        <v>1</v>
      </c>
      <c r="E24" s="19"/>
      <c r="I24" s="15" t="s">
        <v>42</v>
      </c>
      <c r="J24" s="20" t="n">
        <f aca="false">D21</f>
        <v>0.015</v>
      </c>
      <c r="K24" s="15" t="s">
        <v>32</v>
      </c>
    </row>
    <row r="25" customFormat="false" ht="13.8" hidden="false" customHeight="false" outlineLevel="0" collapsed="false">
      <c r="A25" s="3"/>
      <c r="D25" s="6"/>
      <c r="E25" s="7"/>
      <c r="I25" s="15"/>
      <c r="J25" s="15" t="n">
        <f aca="false">D21*0.03937008</f>
        <v>0.0005905512</v>
      </c>
      <c r="K25" s="15" t="s">
        <v>29</v>
      </c>
    </row>
    <row r="26" customFormat="false" ht="13.8" hidden="false" customHeight="false" outlineLevel="0" collapsed="false">
      <c r="A26" s="3"/>
      <c r="B26" s="21" t="s">
        <v>43</v>
      </c>
      <c r="C26" s="22" t="s">
        <v>44</v>
      </c>
      <c r="D26" s="23" t="n">
        <f aca="false">(D13+D15)/2</f>
        <v>40</v>
      </c>
      <c r="E26" s="24" t="s">
        <v>15</v>
      </c>
      <c r="I26" s="15" t="s">
        <v>45</v>
      </c>
      <c r="J26" s="15" t="n">
        <f aca="false">D20/J25</f>
        <v>22650.0259418658</v>
      </c>
      <c r="K26" s="15"/>
    </row>
    <row r="27" customFormat="false" ht="13.8" hidden="false" customHeight="false" outlineLevel="0" collapsed="false">
      <c r="A27" s="3"/>
      <c r="B27" s="9"/>
      <c r="C27" s="10"/>
      <c r="D27" s="14" t="n">
        <f aca="false">D26+459.67</f>
        <v>499.67</v>
      </c>
      <c r="E27" s="12" t="s">
        <v>16</v>
      </c>
      <c r="I27" s="15"/>
      <c r="J27" s="15" t="n">
        <f aca="false">2*LOG(3.7*D20/J25)</f>
        <v>9.84654085565754</v>
      </c>
      <c r="K27" s="15"/>
    </row>
    <row r="28" customFormat="false" ht="13.8" hidden="false" customHeight="false" outlineLevel="0" collapsed="false">
      <c r="A28" s="3"/>
      <c r="B28" s="9" t="s">
        <v>46</v>
      </c>
      <c r="C28" s="10" t="s">
        <v>47</v>
      </c>
      <c r="D28" s="14" t="n">
        <f aca="false">(2/3)*(D17^3-D18^3)/(D17^2-D18^2)</f>
        <v>904.166666666666</v>
      </c>
      <c r="E28" s="12" t="s">
        <v>21</v>
      </c>
      <c r="I28" s="25" t="s">
        <v>48</v>
      </c>
      <c r="J28" s="25" t="n">
        <f aca="false">(1/J27)^2</f>
        <v>0.0103141305830458</v>
      </c>
      <c r="K28" s="25"/>
    </row>
    <row r="29" customFormat="false" ht="13.8" hidden="false" customHeight="false" outlineLevel="0" collapsed="false">
      <c r="A29" s="3"/>
      <c r="B29" s="9" t="s">
        <v>49</v>
      </c>
      <c r="C29" s="10" t="s">
        <v>50</v>
      </c>
      <c r="D29" s="11" t="n">
        <v>1</v>
      </c>
      <c r="E29" s="12"/>
      <c r="F29" s="1" t="s">
        <v>51</v>
      </c>
      <c r="I29" s="25" t="s">
        <v>52</v>
      </c>
      <c r="J29" s="25" t="n">
        <f aca="false">0.032/D20^0.333</f>
        <v>0.0134922175041038</v>
      </c>
      <c r="K29" s="25"/>
    </row>
    <row r="30" customFormat="false" ht="13.8" hidden="false" customHeight="false" outlineLevel="0" collapsed="false">
      <c r="A30" s="3"/>
      <c r="B30" s="9" t="s">
        <v>53</v>
      </c>
      <c r="C30" s="10" t="s">
        <v>54</v>
      </c>
      <c r="D30" s="14" t="n">
        <f aca="false">0.0375*(D11*D22*D28^2)/(D27*D29)</f>
        <v>0</v>
      </c>
      <c r="E30" s="12"/>
    </row>
    <row r="31" customFormat="false" ht="13.8" hidden="false" customHeight="false" outlineLevel="0" collapsed="false">
      <c r="A31" s="3"/>
      <c r="B31" s="9"/>
      <c r="C31" s="10"/>
      <c r="D31" s="14"/>
      <c r="E31" s="12"/>
    </row>
    <row r="32" customFormat="false" ht="13.8" hidden="false" customHeight="false" outlineLevel="0" collapsed="false">
      <c r="A32" s="3"/>
      <c r="B32" s="9"/>
      <c r="C32" s="10"/>
      <c r="D32" s="14"/>
      <c r="E32" s="12"/>
    </row>
    <row r="33" customFormat="false" ht="13.8" hidden="false" customHeight="false" outlineLevel="0" collapsed="false">
      <c r="A33" s="3"/>
      <c r="B33" s="9" t="s">
        <v>55</v>
      </c>
      <c r="C33" s="10" t="s">
        <v>56</v>
      </c>
      <c r="D33" s="26" t="n">
        <v>520</v>
      </c>
      <c r="E33" s="12" t="s">
        <v>16</v>
      </c>
    </row>
    <row r="34" customFormat="false" ht="13.8" hidden="false" customHeight="false" outlineLevel="0" collapsed="false">
      <c r="A34" s="3"/>
      <c r="B34" s="9" t="s">
        <v>57</v>
      </c>
      <c r="C34" s="10" t="s">
        <v>58</v>
      </c>
      <c r="D34" s="26" t="n">
        <v>14.7</v>
      </c>
      <c r="E34" s="12" t="s">
        <v>21</v>
      </c>
    </row>
    <row r="35" customFormat="false" ht="13.8" hidden="false" customHeight="false" outlineLevel="0" collapsed="false">
      <c r="A35" s="3"/>
      <c r="B35" s="9"/>
      <c r="C35" s="10" t="s">
        <v>59</v>
      </c>
      <c r="D35" s="14" t="n">
        <f aca="false">D33/D34</f>
        <v>35.3741496598639</v>
      </c>
      <c r="E35" s="12"/>
    </row>
    <row r="36" customFormat="false" ht="13.8" hidden="false" customHeight="false" outlineLevel="0" collapsed="false">
      <c r="A36" s="3"/>
      <c r="B36" s="16"/>
      <c r="C36" s="17"/>
      <c r="D36" s="27"/>
      <c r="E36" s="19"/>
    </row>
    <row r="37" customFormat="false" ht="13.8" hidden="false" customHeight="false" outlineLevel="0" collapsed="false">
      <c r="A37" s="3"/>
      <c r="B37" s="28" t="s">
        <v>60</v>
      </c>
      <c r="C37" s="28"/>
      <c r="D37" s="14" t="n">
        <f aca="false">D17^2-D18^2-D30</f>
        <v>1600000</v>
      </c>
      <c r="E37" s="12"/>
    </row>
    <row r="38" customFormat="false" ht="13.8" hidden="false" customHeight="false" outlineLevel="0" collapsed="false">
      <c r="A38" s="3"/>
      <c r="B38" s="28" t="s">
        <v>61</v>
      </c>
      <c r="C38" s="28"/>
      <c r="D38" s="14" t="n">
        <f aca="false">D23*D19*D27*D29*D11</f>
        <v>442.411264</v>
      </c>
      <c r="E38" s="12"/>
    </row>
    <row r="39" customFormat="false" ht="13.8" hidden="false" customHeight="false" outlineLevel="0" collapsed="false">
      <c r="A39" s="3"/>
      <c r="B39" s="28" t="s">
        <v>62</v>
      </c>
      <c r="C39" s="28"/>
      <c r="D39" s="14" t="n">
        <f aca="false">D19*D27*D29*D11</f>
        <v>34563.38</v>
      </c>
      <c r="E39" s="12"/>
    </row>
    <row r="40" customFormat="false" ht="13.8" hidden="false" customHeight="false" outlineLevel="0" collapsed="false">
      <c r="A40" s="3"/>
      <c r="B40" s="28" t="s">
        <v>63</v>
      </c>
      <c r="C40" s="28"/>
      <c r="D40" s="14" t="n">
        <f aca="false">D19*D27*D29*D11^0.8539</f>
        <v>36475.5630836415</v>
      </c>
      <c r="E40" s="12"/>
    </row>
    <row r="41" customFormat="false" ht="13.8" hidden="false" customHeight="false" outlineLevel="0" collapsed="false">
      <c r="A41" s="3"/>
      <c r="B41" s="29" t="s">
        <v>64</v>
      </c>
      <c r="C41" s="29"/>
      <c r="D41" s="27" t="n">
        <f aca="false">D19*D27*D29*D11^0.931</f>
        <v>35453.6402771108</v>
      </c>
      <c r="E41" s="19"/>
    </row>
    <row r="42" customFormat="false" ht="13.8" hidden="false" customHeight="false" outlineLevel="0" collapsed="false">
      <c r="A42" s="3"/>
      <c r="D42" s="30"/>
      <c r="E42" s="7"/>
    </row>
    <row r="43" customFormat="false" ht="13.8" hidden="false" customHeight="false" outlineLevel="0" collapsed="false">
      <c r="A43" s="3"/>
      <c r="D43" s="6"/>
      <c r="E43" s="31"/>
    </row>
    <row r="44" customFormat="false" ht="12.8" hidden="false" customHeight="false" outlineLevel="0" collapsed="false">
      <c r="A44" s="3"/>
      <c r="B44" s="32" t="s">
        <v>65</v>
      </c>
      <c r="C44" s="32"/>
      <c r="D44" s="32"/>
      <c r="E44" s="32"/>
      <c r="F44" s="33" t="s">
        <v>66</v>
      </c>
      <c r="G44" s="33" t="s">
        <v>67</v>
      </c>
      <c r="H44" s="33" t="s">
        <v>68</v>
      </c>
      <c r="I44" s="33" t="s">
        <v>69</v>
      </c>
    </row>
    <row r="45" customFormat="false" ht="13.8" hidden="false" customHeight="false" outlineLevel="0" collapsed="false">
      <c r="A45" s="3"/>
      <c r="B45" s="9" t="s">
        <v>70</v>
      </c>
      <c r="C45" s="10" t="s">
        <v>71</v>
      </c>
      <c r="D45" s="34" t="n">
        <f aca="false">3.2308*D24*D35*(D37/D38)^0.5*D20^2.5</f>
        <v>4497370.18840924</v>
      </c>
      <c r="E45" s="12" t="s">
        <v>72</v>
      </c>
      <c r="F45" s="35" t="n">
        <f aca="false">0.4821*D45*$D$11/($D$20*$D$12)</f>
        <v>10193181.416656</v>
      </c>
      <c r="G45" s="35" t="n">
        <f aca="false">0.25/(LOG(J25/(3.7*D20)+5.74/F45^0.9))^2</f>
        <v>0.0107122879732653</v>
      </c>
      <c r="H45" s="35" t="n">
        <f aca="false">D23</f>
        <v>0.0128</v>
      </c>
      <c r="I45" s="36" t="n">
        <f aca="false">(G45-H45)/G45</f>
        <v>-0.194889460771126</v>
      </c>
      <c r="J45" s="1" t="s">
        <v>73</v>
      </c>
    </row>
    <row r="46" customFormat="false" ht="13.8" hidden="false" customHeight="false" outlineLevel="0" collapsed="false">
      <c r="A46" s="3"/>
      <c r="B46" s="16" t="s">
        <v>74</v>
      </c>
      <c r="C46" s="17" t="s">
        <v>75</v>
      </c>
      <c r="D46" s="37" t="n">
        <f aca="false">18.062*D24*D35*(D37/D39)^0.5*D20^2.667</f>
        <v>4386477.14379772</v>
      </c>
      <c r="E46" s="19" t="s">
        <v>72</v>
      </c>
      <c r="J46" s="1" t="s">
        <v>76</v>
      </c>
    </row>
    <row r="47" customFormat="false" ht="13.8" hidden="false" customHeight="false" outlineLevel="0" collapsed="false">
      <c r="A47" s="3"/>
      <c r="B47" s="9" t="s">
        <v>77</v>
      </c>
      <c r="C47" s="10" t="s">
        <v>78</v>
      </c>
      <c r="D47" s="34" t="n">
        <f aca="false">18.161*D24*D35^1.0788*(D37/D40)^0.5394*D20^2.6182</f>
        <v>5815245.79819803</v>
      </c>
      <c r="E47" s="12" t="s">
        <v>72</v>
      </c>
    </row>
    <row r="48" customFormat="false" ht="13.8" hidden="false" customHeight="false" outlineLevel="0" collapsed="false">
      <c r="A48" s="3"/>
      <c r="B48" s="16" t="s">
        <v>79</v>
      </c>
      <c r="C48" s="17" t="s">
        <v>80</v>
      </c>
      <c r="D48" s="37" t="n">
        <f aca="false">30.708*D24*D35^1.02*(D37/D41)^0.51*D20^2.53</f>
        <v>5758254.62248887</v>
      </c>
      <c r="E48" s="19" t="s">
        <v>72</v>
      </c>
    </row>
    <row r="49" customFormat="false" ht="13.8" hidden="false" customHeight="false" outlineLevel="0" collapsed="false">
      <c r="A49" s="3"/>
      <c r="D49" s="6"/>
      <c r="E49" s="31"/>
    </row>
    <row r="50" customFormat="false" ht="13.8" hidden="false" customHeight="false" outlineLevel="0" collapsed="false">
      <c r="A50" s="3"/>
      <c r="D50" s="6"/>
      <c r="E50" s="7"/>
    </row>
    <row r="51" customFormat="false" ht="12.8" hidden="false" customHeight="false" outlineLevel="0" collapsed="false">
      <c r="B51" s="38" t="s">
        <v>81</v>
      </c>
      <c r="C51" s="38"/>
    </row>
    <row r="53" customFormat="false" ht="12.8" hidden="false" customHeight="false" outlineLevel="0" collapsed="false">
      <c r="B53" s="39" t="s">
        <v>82</v>
      </c>
      <c r="C53" s="39"/>
    </row>
    <row r="55" customFormat="false" ht="16.85" hidden="false" customHeight="true" outlineLevel="0" collapsed="false">
      <c r="B55" s="40" t="s">
        <v>83</v>
      </c>
      <c r="C55" s="40"/>
      <c r="D55" s="40"/>
      <c r="E55" s="40"/>
      <c r="F55" s="40"/>
      <c r="G55" s="40"/>
      <c r="H55" s="40"/>
      <c r="I55" s="40"/>
      <c r="J55" s="40"/>
      <c r="K55" s="40"/>
    </row>
    <row r="57" s="42" customFormat="true" ht="12.8" hidden="false" customHeight="false" outlineLevel="0" collapsed="false">
      <c r="A57" s="41" t="s">
        <v>84</v>
      </c>
    </row>
  </sheetData>
  <sheetProtection sheet="true" password="c80a" objects="true" scenarios="true"/>
  <mergeCells count="8">
    <mergeCell ref="B8:E8"/>
    <mergeCell ref="B37:C37"/>
    <mergeCell ref="B38:C38"/>
    <mergeCell ref="B39:C39"/>
    <mergeCell ref="B40:C40"/>
    <mergeCell ref="B41:C41"/>
    <mergeCell ref="B44:E44"/>
    <mergeCell ref="B55:K55"/>
  </mergeCells>
  <hyperlinks>
    <hyperlink ref="B51"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311</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2024-01-08T22:01:13Z</dcterms:modified>
  <cp:revision>55</cp:revision>
  <dc:subject/>
  <dc:title/>
</cp:coreProperties>
</file>

<file path=docProps/custom.xml><?xml version="1.0" encoding="utf-8"?>
<Properties xmlns="http://schemas.openxmlformats.org/officeDocument/2006/custom-properties" xmlns:vt="http://schemas.openxmlformats.org/officeDocument/2006/docPropsVTypes"/>
</file>